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240" yWindow="105" windowWidth="14805" windowHeight="8010"/>
  </bookViews>
  <sheets>
    <sheet name="ОДДС 2021" sheetId="1" r:id="rId1"/>
    <sheet name="ОЦИ 2021" sheetId="8" r:id="rId2"/>
    <sheet name="Расш к ОЦИ СНТ" sheetId="9" r:id="rId3"/>
    <sheet name="Факт бюджет 2021" sheetId="3" r:id="rId4"/>
  </sheets>
  <externalReferences>
    <externalReference r:id="rId5"/>
  </externalReferences>
  <calcPr calcId="124519"/>
</workbook>
</file>

<file path=xl/calcChain.xml><?xml version="1.0" encoding="utf-8"?>
<calcChain xmlns="http://schemas.openxmlformats.org/spreadsheetml/2006/main">
  <c r="E40" i="1"/>
  <c r="E23" i="3"/>
  <c r="E11"/>
  <c r="E6"/>
  <c r="D11"/>
  <c r="D23" s="1"/>
  <c r="C11"/>
  <c r="C23"/>
  <c r="B23"/>
  <c r="E19"/>
  <c r="E20"/>
  <c r="D8"/>
  <c r="B18" i="9"/>
  <c r="B35" s="1"/>
  <c r="C33"/>
  <c r="B33"/>
  <c r="C32"/>
  <c r="D32" s="1"/>
  <c r="D31"/>
  <c r="D30"/>
  <c r="D29"/>
  <c r="D28"/>
  <c r="D27"/>
  <c r="D26"/>
  <c r="D25"/>
  <c r="D24"/>
  <c r="D22"/>
  <c r="C21"/>
  <c r="D21" s="1"/>
  <c r="D20"/>
  <c r="D19" s="1"/>
  <c r="C19"/>
  <c r="B19"/>
  <c r="D17"/>
  <c r="D16"/>
  <c r="C15"/>
  <c r="B15"/>
  <c r="D14"/>
  <c r="C13"/>
  <c r="D13" s="1"/>
  <c r="C12"/>
  <c r="D12" s="1"/>
  <c r="C11"/>
  <c r="D11" s="1"/>
  <c r="C10"/>
  <c r="D9"/>
  <c r="C8"/>
  <c r="D8" s="1"/>
  <c r="B7"/>
  <c r="D5"/>
  <c r="D33" l="1"/>
  <c r="C23"/>
  <c r="D23" s="1"/>
  <c r="C7"/>
  <c r="C6" s="1"/>
  <c r="D15"/>
  <c r="B6"/>
  <c r="D10"/>
  <c r="F34" i="1"/>
  <c r="F24"/>
  <c r="F31"/>
  <c r="F32"/>
  <c r="F33"/>
  <c r="F30"/>
  <c r="G42" i="8"/>
  <c r="H38"/>
  <c r="G17"/>
  <c r="G5"/>
  <c r="G29"/>
  <c r="E5"/>
  <c r="E29"/>
  <c r="C17" i="3"/>
  <c r="C18"/>
  <c r="E18" s="1"/>
  <c r="B11"/>
  <c r="C15"/>
  <c r="C18" i="9" l="1"/>
  <c r="C35" s="1"/>
  <c r="D18"/>
  <c r="D7"/>
  <c r="D6"/>
  <c r="E44" i="1"/>
  <c r="E37"/>
  <c r="D35" i="9" l="1"/>
  <c r="E5" i="1"/>
  <c r="E14"/>
  <c r="E15"/>
  <c r="C16"/>
  <c r="D32"/>
  <c r="D29"/>
  <c r="F29" s="1"/>
  <c r="D27"/>
  <c r="F27" s="1"/>
  <c r="C22"/>
  <c r="D21"/>
  <c r="D20" s="1"/>
  <c r="C20"/>
  <c r="E20"/>
  <c r="B20"/>
  <c r="D17"/>
  <c r="F17" s="1"/>
  <c r="C8"/>
  <c r="C13"/>
  <c r="C10"/>
  <c r="C11"/>
  <c r="C12"/>
  <c r="C7" l="1"/>
  <c r="C36" i="8" l="1"/>
  <c r="G27"/>
  <c r="E27"/>
  <c r="G25"/>
  <c r="E25"/>
  <c r="G23"/>
  <c r="E23"/>
  <c r="G21"/>
  <c r="E21"/>
  <c r="E17"/>
  <c r="F10"/>
  <c r="F9"/>
  <c r="F7"/>
  <c r="A2"/>
  <c r="G36" l="1"/>
  <c r="H25"/>
  <c r="H5"/>
  <c r="H29"/>
  <c r="E36"/>
  <c r="H23"/>
  <c r="H27"/>
  <c r="H21"/>
  <c r="H17"/>
  <c r="H36" l="1"/>
  <c r="B16" i="1" l="1"/>
  <c r="F43"/>
  <c r="F44"/>
  <c r="E7" l="1"/>
  <c r="D26"/>
  <c r="F26" s="1"/>
  <c r="D31"/>
  <c r="E15" i="3" l="1"/>
  <c r="D6"/>
  <c r="D37" i="1"/>
  <c r="D36"/>
  <c r="D25"/>
  <c r="F25" s="1"/>
  <c r="D23"/>
  <c r="D22"/>
  <c r="D18"/>
  <c r="C34"/>
  <c r="B34"/>
  <c r="B19" s="1"/>
  <c r="E34"/>
  <c r="F41"/>
  <c r="F42"/>
  <c r="C33"/>
  <c r="D30"/>
  <c r="D16" l="1"/>
  <c r="F16" s="1"/>
  <c r="D33"/>
  <c r="C24"/>
  <c r="C19" s="1"/>
  <c r="E19"/>
  <c r="D34"/>
  <c r="F14"/>
  <c r="D28"/>
  <c r="F28" s="1"/>
  <c r="F18"/>
  <c r="D13"/>
  <c r="F13" s="1"/>
  <c r="D9"/>
  <c r="F9" s="1"/>
  <c r="D10"/>
  <c r="F10" s="1"/>
  <c r="D11"/>
  <c r="F11" s="1"/>
  <c r="D15"/>
  <c r="F15" s="1"/>
  <c r="D12"/>
  <c r="F12" s="1"/>
  <c r="D24" l="1"/>
  <c r="D19"/>
  <c r="F19" s="1"/>
  <c r="D5"/>
  <c r="B7"/>
  <c r="D8"/>
  <c r="F8" s="1"/>
  <c r="C6"/>
  <c r="C45" s="1"/>
  <c r="B8" i="3"/>
  <c r="C13"/>
  <c r="E13" s="1"/>
  <c r="B6" i="1" l="1"/>
  <c r="B45" s="1"/>
  <c r="D7"/>
  <c r="F7" s="1"/>
  <c r="F5"/>
  <c r="C7" i="3"/>
  <c r="E7" s="1"/>
  <c r="C12"/>
  <c r="C14"/>
  <c r="E14" s="1"/>
  <c r="C16"/>
  <c r="E16" s="1"/>
  <c r="E17"/>
  <c r="B6"/>
  <c r="C6" s="1"/>
  <c r="B26" l="1"/>
  <c r="E12"/>
  <c r="D6" i="1"/>
  <c r="C8" i="3"/>
  <c r="E8" s="1"/>
  <c r="F39" i="1"/>
  <c r="F38"/>
  <c r="D45" l="1"/>
  <c r="F40"/>
  <c r="C26" i="3" l="1"/>
  <c r="F23" i="1"/>
  <c r="E6" l="1"/>
  <c r="F6" s="1"/>
  <c r="F37"/>
  <c r="F35" l="1"/>
  <c r="F22"/>
  <c r="F36"/>
  <c r="F21" l="1"/>
  <c r="F20" l="1"/>
  <c r="E45" l="1"/>
  <c r="F45" s="1"/>
</calcChain>
</file>

<file path=xl/sharedStrings.xml><?xml version="1.0" encoding="utf-8"?>
<sst xmlns="http://schemas.openxmlformats.org/spreadsheetml/2006/main" count="185" uniqueCount="121">
  <si>
    <t>Отчет о движении денежных средств</t>
  </si>
  <si>
    <t>Остаток на начало периода</t>
  </si>
  <si>
    <t>Всего</t>
  </si>
  <si>
    <t>Приход</t>
  </si>
  <si>
    <t>Расход</t>
  </si>
  <si>
    <t>Конюхова ЮЮ</t>
  </si>
  <si>
    <t>Заработная плата, в том числе:</t>
  </si>
  <si>
    <t>Итого ЭД</t>
  </si>
  <si>
    <t>Взносы, в том числе:</t>
  </si>
  <si>
    <t>членский взнос</t>
  </si>
  <si>
    <t>целевой взнос (электроэнергия)</t>
  </si>
  <si>
    <t>целевой взнос (трансформатор 2 поле)</t>
  </si>
  <si>
    <t>целевой взнос (освещение)</t>
  </si>
  <si>
    <t>целевой взнос (земельный налог)</t>
  </si>
  <si>
    <t>Оплата поставщикам, в том числе:</t>
  </si>
  <si>
    <t>Красноярскэнергосбыт, электроэнергия</t>
  </si>
  <si>
    <t>ИП Долбня НВ, бухгалтерское обслуживание</t>
  </si>
  <si>
    <t>Прочие выплаты, в том числе:</t>
  </si>
  <si>
    <t>подключение электричества</t>
  </si>
  <si>
    <t>дорожный сбор</t>
  </si>
  <si>
    <t>целевой невозвратный взнос (2018)</t>
  </si>
  <si>
    <t>50, 71</t>
  </si>
  <si>
    <t>Остаток на конец периода</t>
  </si>
  <si>
    <t>Налоги и сборы от ФОТ</t>
  </si>
  <si>
    <t>Земельный налог</t>
  </si>
  <si>
    <t>на осуществление текущей деятельности</t>
  </si>
  <si>
    <t>Фонд оплаты труда</t>
  </si>
  <si>
    <t>* (ФСС 2,9%; ПФР 22%; ФФОМС 5,1%; ФССтравм 0,2%)</t>
  </si>
  <si>
    <t xml:space="preserve">Налоги 30,2%* </t>
  </si>
  <si>
    <t>Общехозяйственные расходы</t>
  </si>
  <si>
    <t>Бухгалтерское обслуживание</t>
  </si>
  <si>
    <t>в месяц</t>
  </si>
  <si>
    <t>в год</t>
  </si>
  <si>
    <t>Обновление 1С</t>
  </si>
  <si>
    <t>Аренда зала для общего собрания</t>
  </si>
  <si>
    <t>Банковское обслуживание</t>
  </si>
  <si>
    <t>Итого бюджет:</t>
  </si>
  <si>
    <t>Количество членов ЖСК</t>
  </si>
  <si>
    <t>Размер членского взноса</t>
  </si>
  <si>
    <t>Обслуживание электрохозяйства</t>
  </si>
  <si>
    <t>Конюхова Ю.Ю.</t>
  </si>
  <si>
    <t>51, 55</t>
  </si>
  <si>
    <t>Прочие поступления, в том числе:</t>
  </si>
  <si>
    <t>% по депозитам</t>
  </si>
  <si>
    <t>Элемент, обслуживание электрохозяйства</t>
  </si>
  <si>
    <t>услуги банка</t>
  </si>
  <si>
    <t>возвращено переплат по взносам</t>
  </si>
  <si>
    <t>Электронная отчетность СБИС</t>
  </si>
  <si>
    <t>факт</t>
  </si>
  <si>
    <t>экономия</t>
  </si>
  <si>
    <t>СНТ</t>
  </si>
  <si>
    <t>СНТ "Свой дом"</t>
  </si>
  <si>
    <t>Итого СНТ</t>
  </si>
  <si>
    <t>Отчет о целевом использовании денежных средств</t>
  </si>
  <si>
    <t>Наименование поступления</t>
  </si>
  <si>
    <t>Наименование расхода</t>
  </si>
  <si>
    <t>Заработная плата</t>
  </si>
  <si>
    <t>Итого:</t>
  </si>
  <si>
    <t>Размещение средств:</t>
  </si>
  <si>
    <t>в кассе ЖСК</t>
  </si>
  <si>
    <t>на расчетном счете СНТ</t>
  </si>
  <si>
    <t>на депозите Сбербанка</t>
  </si>
  <si>
    <t>в ПО Конюховой</t>
  </si>
  <si>
    <t>в ПО Долбня</t>
  </si>
  <si>
    <t>в ПО Краева</t>
  </si>
  <si>
    <t>в ПО Тухватулина</t>
  </si>
  <si>
    <t>Текущая деятельность</t>
  </si>
  <si>
    <t>Всего приход</t>
  </si>
  <si>
    <t>Всего расход</t>
  </si>
  <si>
    <t>Членский взнос</t>
  </si>
  <si>
    <t>Услуги банка</t>
  </si>
  <si>
    <t>Электроэнергия</t>
  </si>
  <si>
    <t>Подключение электроэнергии</t>
  </si>
  <si>
    <t>Подключение электричества</t>
  </si>
  <si>
    <t>Трансформатор 2 поле</t>
  </si>
  <si>
    <t>Целевой взнос (трансформатор 2 поле)</t>
  </si>
  <si>
    <t>Целевой взнос (2018)</t>
  </si>
  <si>
    <t>Целевой взнос (электроэнергия)</t>
  </si>
  <si>
    <t>Освещение</t>
  </si>
  <si>
    <t>Целевой взнос (освещение)</t>
  </si>
  <si>
    <t>Целевой взнос (земельный налог)</t>
  </si>
  <si>
    <t>Дорожный сбор</t>
  </si>
  <si>
    <t>Почтовые расходы</t>
  </si>
  <si>
    <t>№</t>
  </si>
  <si>
    <t>Мероприятия</t>
  </si>
  <si>
    <t>Председатель (на руки 12000 + НДФЛ)</t>
  </si>
  <si>
    <t>Членский взнос с 01/01/21</t>
  </si>
  <si>
    <t>Техподдержка сайта</t>
  </si>
  <si>
    <t>за период: 01.01.2021 - 31.12.2021</t>
  </si>
  <si>
    <t>грант</t>
  </si>
  <si>
    <t>Администрация поселка Емельяново</t>
  </si>
  <si>
    <t>ИП Быкова ИА, конференц-зал</t>
  </si>
  <si>
    <t>ИП Губанов ДВ, сайт</t>
  </si>
  <si>
    <t>ИП Чернышев ДА, грунт скальный 108м3</t>
  </si>
  <si>
    <t>КРК, вывоз ТБО</t>
  </si>
  <si>
    <t>Сервис Маркет, СБИС</t>
  </si>
  <si>
    <t>Расходы, в том числе:</t>
  </si>
  <si>
    <t>Чистка дороги (18/01; 30/01; 06/02; 17/02; 20/02; 10/03; 27/11; 19/12)</t>
  </si>
  <si>
    <t>ИП Чернышев ДА, грунт скальный 216м3</t>
  </si>
  <si>
    <t>Бобкэт 30/08</t>
  </si>
  <si>
    <t>Почта 16/03 отправка договора в КРК</t>
  </si>
  <si>
    <t>Вывеска: покраска 31/08</t>
  </si>
  <si>
    <t>Труба под дорогой 15/10: бетон, сетка, подготовка</t>
  </si>
  <si>
    <t>Исполнение бюджета расходов на 2021 г.</t>
  </si>
  <si>
    <t>Остаток на 01/01/21*</t>
  </si>
  <si>
    <t>Остаток на 31/12/21</t>
  </si>
  <si>
    <t>Грант</t>
  </si>
  <si>
    <t>Администрация Емельяново, аренда</t>
  </si>
  <si>
    <t>ИП Быкова, конференц-зал</t>
  </si>
  <si>
    <t>ИП Губанов, сайт</t>
  </si>
  <si>
    <t>ИП Чернышев, грунт скальный 108м3</t>
  </si>
  <si>
    <t>Возвращено переплат по взносам</t>
  </si>
  <si>
    <t>ИП Чернышев, грунт скальный 216м3</t>
  </si>
  <si>
    <t>Труба под дорогой 15/10</t>
  </si>
  <si>
    <t>Расшифровка к Отчету о целевом использовании средств</t>
  </si>
  <si>
    <t>Счета б\у</t>
  </si>
  <si>
    <t xml:space="preserve">Итого </t>
  </si>
  <si>
    <t>Код строки</t>
  </si>
  <si>
    <t>Ознакомлены:</t>
  </si>
  <si>
    <t>Председатель СНТ "Свой дом"</t>
  </si>
  <si>
    <t>* остатки по статьям на 01/01/21 приведены ориентировочно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</si>
</sst>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FF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00EA6A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/>
    <xf numFmtId="3" fontId="2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3" borderId="0" xfId="0" applyFont="1" applyFill="1" applyAlignment="1">
      <alignment horizontal="right"/>
    </xf>
    <xf numFmtId="3" fontId="5" fillId="3" borderId="1" xfId="0" applyNumberFormat="1" applyFont="1" applyFill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3" fontId="5" fillId="2" borderId="1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right"/>
    </xf>
    <xf numFmtId="3" fontId="5" fillId="0" borderId="1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3" borderId="5" xfId="0" applyFont="1" applyFill="1" applyBorder="1" applyAlignment="1">
      <alignment horizontal="right"/>
    </xf>
    <xf numFmtId="3" fontId="5" fillId="3" borderId="6" xfId="0" applyNumberFormat="1" applyFont="1" applyFill="1" applyBorder="1" applyAlignment="1">
      <alignment horizontal="center"/>
    </xf>
    <xf numFmtId="3" fontId="5" fillId="3" borderId="7" xfId="0" applyNumberFormat="1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  <xf numFmtId="3" fontId="6" fillId="2" borderId="3" xfId="0" applyNumberFormat="1" applyFont="1" applyFill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7" fillId="0" borderId="0" xfId="0" applyFont="1"/>
    <xf numFmtId="3" fontId="6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1" xfId="0" applyFont="1" applyBorder="1"/>
    <xf numFmtId="3" fontId="8" fillId="0" borderId="1" xfId="0" applyNumberFormat="1" applyFont="1" applyBorder="1"/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0" fontId="8" fillId="0" borderId="0" xfId="0" applyFont="1" applyAlignment="1">
      <alignment horizontal="right"/>
    </xf>
    <xf numFmtId="3" fontId="10" fillId="0" borderId="0" xfId="0" applyNumberFormat="1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/>
    <xf numFmtId="3" fontId="8" fillId="2" borderId="1" xfId="0" applyNumberFormat="1" applyFont="1" applyFill="1" applyBorder="1"/>
    <xf numFmtId="3" fontId="8" fillId="2" borderId="1" xfId="0" applyNumberFormat="1" applyFont="1" applyFill="1" applyBorder="1" applyAlignment="1">
      <alignment horizontal="center" wrapText="1"/>
    </xf>
    <xf numFmtId="3" fontId="8" fillId="2" borderId="1" xfId="0" applyNumberFormat="1" applyFont="1" applyFill="1" applyBorder="1" applyAlignment="1">
      <alignment horizontal="right" wrapText="1"/>
    </xf>
    <xf numFmtId="3" fontId="8" fillId="0" borderId="1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0" fontId="5" fillId="0" borderId="2" xfId="0" applyFont="1" applyBorder="1" applyAlignment="1">
      <alignment horizontal="center"/>
    </xf>
    <xf numFmtId="0" fontId="8" fillId="0" borderId="0" xfId="0" applyFont="1" applyFill="1" applyAlignment="1">
      <alignment horizontal="right"/>
    </xf>
    <xf numFmtId="0" fontId="8" fillId="0" borderId="0" xfId="0" applyFont="1" applyFill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5" fillId="0" borderId="9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CCFFCC"/>
      <color rgb="FF00EA6A"/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95;&#1077;&#1090;%20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ДДС 2019"/>
      <sheetName val="Целевое использование 2019"/>
      <sheetName val="Бюджет 2019"/>
      <sheetName val="Бюджет 2020"/>
      <sheetName val="Доклад"/>
    </sheetNames>
    <sheetDataSet>
      <sheetData sheetId="0">
        <row r="28">
          <cell r="A28" t="str">
            <v>Налоги и сборы от ФОТ</v>
          </cell>
        </row>
        <row r="32">
          <cell r="A32" t="str">
            <v>ИП Долбня НВ, бухгалтерское обслуживание</v>
          </cell>
        </row>
        <row r="37">
          <cell r="A37" t="str">
            <v>Элемент, обслуживание электрохозяйства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5"/>
  <sheetViews>
    <sheetView tabSelected="1" topLeftCell="A22" workbookViewId="0">
      <selection activeCell="E39" sqref="E39"/>
    </sheetView>
  </sheetViews>
  <sheetFormatPr defaultRowHeight="15.75"/>
  <cols>
    <col min="1" max="1" width="72" style="10" bestFit="1" customWidth="1"/>
    <col min="2" max="2" width="7.28515625" style="14" bestFit="1" customWidth="1"/>
    <col min="3" max="3" width="10.140625" style="14" bestFit="1" customWidth="1"/>
    <col min="4" max="4" width="10.85546875" style="14" bestFit="1" customWidth="1"/>
    <col min="5" max="5" width="9.7109375" style="14" bestFit="1" customWidth="1"/>
    <col min="6" max="6" width="10.140625" style="14" bestFit="1" customWidth="1"/>
    <col min="7" max="16384" width="9.140625" style="9"/>
  </cols>
  <sheetData>
    <row r="1" spans="1:6" ht="18" customHeight="1">
      <c r="A1" s="61" t="s">
        <v>0</v>
      </c>
      <c r="B1" s="61"/>
      <c r="C1" s="61"/>
      <c r="D1" s="61"/>
      <c r="E1" s="61"/>
      <c r="F1" s="61"/>
    </row>
    <row r="2" spans="1:6" ht="18" customHeight="1">
      <c r="A2" s="61" t="s">
        <v>88</v>
      </c>
      <c r="B2" s="61"/>
      <c r="C2" s="61"/>
      <c r="D2" s="61"/>
      <c r="E2" s="61"/>
      <c r="F2" s="61"/>
    </row>
    <row r="3" spans="1:6" ht="18" customHeight="1">
      <c r="B3" s="60" t="s">
        <v>50</v>
      </c>
      <c r="C3" s="60"/>
      <c r="D3" s="60"/>
      <c r="E3" s="62" t="s">
        <v>7</v>
      </c>
      <c r="F3" s="62" t="s">
        <v>2</v>
      </c>
    </row>
    <row r="4" spans="1:6" ht="18" customHeight="1" thickBot="1">
      <c r="B4" s="20" t="s">
        <v>21</v>
      </c>
      <c r="C4" s="20" t="s">
        <v>41</v>
      </c>
      <c r="D4" s="20" t="s">
        <v>52</v>
      </c>
      <c r="E4" s="63"/>
      <c r="F4" s="63"/>
    </row>
    <row r="5" spans="1:6" ht="18" customHeight="1" thickBot="1">
      <c r="A5" s="22" t="s">
        <v>1</v>
      </c>
      <c r="B5" s="23">
        <v>38426</v>
      </c>
      <c r="C5" s="23">
        <v>681632</v>
      </c>
      <c r="D5" s="23">
        <f>B5+C5</f>
        <v>720058</v>
      </c>
      <c r="E5" s="23">
        <f>201133+119049</f>
        <v>320182</v>
      </c>
      <c r="F5" s="24">
        <f>D5+E5</f>
        <v>1040240</v>
      </c>
    </row>
    <row r="6" spans="1:6" s="14" customFormat="1" ht="18" customHeight="1" thickBot="1">
      <c r="A6" s="22" t="s">
        <v>3</v>
      </c>
      <c r="B6" s="23">
        <f>B7+B16</f>
        <v>0</v>
      </c>
      <c r="C6" s="23">
        <f>C7+C16</f>
        <v>2984177</v>
      </c>
      <c r="D6" s="23">
        <f>B6+C6</f>
        <v>2984177</v>
      </c>
      <c r="E6" s="23">
        <f>E7+E16</f>
        <v>152258</v>
      </c>
      <c r="F6" s="24">
        <f>D6+E6</f>
        <v>3136435</v>
      </c>
    </row>
    <row r="7" spans="1:6" ht="18" customHeight="1">
      <c r="A7" s="15" t="s">
        <v>8</v>
      </c>
      <c r="B7" s="25">
        <f>SUM(B8:B15)</f>
        <v>0</v>
      </c>
      <c r="C7" s="26">
        <f>SUM(C8:C15)</f>
        <v>1582465</v>
      </c>
      <c r="D7" s="25">
        <f>B7+C7</f>
        <v>1582465</v>
      </c>
      <c r="E7" s="25">
        <f>SUM(E8:E15)</f>
        <v>152258</v>
      </c>
      <c r="F7" s="25">
        <f>D7+E7</f>
        <v>1734723</v>
      </c>
    </row>
    <row r="8" spans="1:6" ht="18" customHeight="1">
      <c r="A8" s="10" t="s">
        <v>10</v>
      </c>
      <c r="B8" s="13"/>
      <c r="C8" s="13">
        <f>832778+104-1</f>
        <v>832881</v>
      </c>
      <c r="D8" s="13">
        <f>B8+C8</f>
        <v>832881</v>
      </c>
      <c r="E8" s="13"/>
      <c r="F8" s="13">
        <f>D8+E8</f>
        <v>832881</v>
      </c>
    </row>
    <row r="9" spans="1:6" ht="18" customHeight="1">
      <c r="A9" s="10" t="s">
        <v>11</v>
      </c>
      <c r="B9" s="13"/>
      <c r="C9" s="13">
        <v>6126</v>
      </c>
      <c r="D9" s="13">
        <f t="shared" ref="D9:D15" si="0">B9+C9</f>
        <v>6126</v>
      </c>
      <c r="E9" s="13"/>
      <c r="F9" s="13">
        <f t="shared" ref="F9:F15" si="1">D9+E9</f>
        <v>6126</v>
      </c>
    </row>
    <row r="10" spans="1:6" ht="18" customHeight="1">
      <c r="A10" s="10" t="s">
        <v>12</v>
      </c>
      <c r="B10" s="13"/>
      <c r="C10" s="13">
        <f>2484+1000</f>
        <v>3484</v>
      </c>
      <c r="D10" s="13">
        <f t="shared" si="0"/>
        <v>3484</v>
      </c>
      <c r="E10" s="13"/>
      <c r="F10" s="13">
        <f t="shared" si="1"/>
        <v>3484</v>
      </c>
    </row>
    <row r="11" spans="1:6" ht="18" customHeight="1">
      <c r="A11" s="10" t="s">
        <v>13</v>
      </c>
      <c r="B11" s="13"/>
      <c r="C11" s="13">
        <f>21841+659+527</f>
        <v>23027</v>
      </c>
      <c r="D11" s="13">
        <f t="shared" si="0"/>
        <v>23027</v>
      </c>
      <c r="E11" s="13"/>
      <c r="F11" s="13">
        <f t="shared" si="1"/>
        <v>23027</v>
      </c>
    </row>
    <row r="12" spans="1:6" ht="18" customHeight="1">
      <c r="A12" s="10" t="s">
        <v>20</v>
      </c>
      <c r="B12" s="13"/>
      <c r="C12" s="13">
        <f>200+200</f>
        <v>400</v>
      </c>
      <c r="D12" s="13">
        <f t="shared" si="0"/>
        <v>400</v>
      </c>
      <c r="E12" s="13"/>
      <c r="F12" s="13">
        <f t="shared" si="1"/>
        <v>400</v>
      </c>
    </row>
    <row r="13" spans="1:6" ht="18" customHeight="1">
      <c r="A13" s="10" t="s">
        <v>9</v>
      </c>
      <c r="B13" s="13"/>
      <c r="C13" s="13">
        <f>500070+14840+16863</f>
        <v>531773</v>
      </c>
      <c r="D13" s="13">
        <f t="shared" si="0"/>
        <v>531773</v>
      </c>
      <c r="E13" s="13"/>
      <c r="F13" s="13">
        <f t="shared" si="1"/>
        <v>531773</v>
      </c>
    </row>
    <row r="14" spans="1:6" ht="18" customHeight="1">
      <c r="A14" s="10" t="s">
        <v>18</v>
      </c>
      <c r="B14" s="13"/>
      <c r="C14" s="13"/>
      <c r="D14" s="13"/>
      <c r="E14" s="13">
        <f>38000+14500</f>
        <v>52500</v>
      </c>
      <c r="F14" s="13">
        <f t="shared" si="1"/>
        <v>52500</v>
      </c>
    </row>
    <row r="15" spans="1:6" ht="18" customHeight="1">
      <c r="A15" s="10" t="s">
        <v>19</v>
      </c>
      <c r="B15" s="13"/>
      <c r="C15" s="13">
        <v>184774</v>
      </c>
      <c r="D15" s="13">
        <f t="shared" si="0"/>
        <v>184774</v>
      </c>
      <c r="E15" s="13">
        <f>84908+10000+4850</f>
        <v>99758</v>
      </c>
      <c r="F15" s="13">
        <f t="shared" si="1"/>
        <v>284532</v>
      </c>
    </row>
    <row r="16" spans="1:6" ht="18" customHeight="1">
      <c r="A16" s="15" t="s">
        <v>42</v>
      </c>
      <c r="B16" s="16">
        <f>B18</f>
        <v>0</v>
      </c>
      <c r="C16" s="16">
        <f>C18+C17</f>
        <v>1401712</v>
      </c>
      <c r="D16" s="16">
        <f>D18+D17</f>
        <v>1401712</v>
      </c>
      <c r="E16" s="16">
        <v>0</v>
      </c>
      <c r="F16" s="16">
        <f>D16+E16</f>
        <v>1401712</v>
      </c>
    </row>
    <row r="17" spans="1:6" ht="18" customHeight="1">
      <c r="A17" s="10" t="s">
        <v>89</v>
      </c>
      <c r="B17" s="27"/>
      <c r="C17" s="27">
        <v>1389422</v>
      </c>
      <c r="D17" s="27">
        <f>B17+C17</f>
        <v>1389422</v>
      </c>
      <c r="E17" s="27"/>
      <c r="F17" s="27">
        <f t="shared" ref="F17" si="2">D17+E17</f>
        <v>1389422</v>
      </c>
    </row>
    <row r="18" spans="1:6" ht="18" customHeight="1" thickBot="1">
      <c r="A18" s="10" t="s">
        <v>43</v>
      </c>
      <c r="B18" s="27"/>
      <c r="C18" s="27">
        <v>12290</v>
      </c>
      <c r="D18" s="27">
        <f>B18+C18</f>
        <v>12290</v>
      </c>
      <c r="E18" s="27"/>
      <c r="F18" s="27">
        <f t="shared" ref="F18" si="3">D18+E18</f>
        <v>12290</v>
      </c>
    </row>
    <row r="19" spans="1:6" s="14" customFormat="1" ht="18" customHeight="1" thickBot="1">
      <c r="A19" s="22" t="s">
        <v>4</v>
      </c>
      <c r="B19" s="23">
        <f>B20+B22+B23+B24+B34+B37</f>
        <v>35551</v>
      </c>
      <c r="C19" s="23">
        <f>C20+C22+C23+C24+C34</f>
        <v>1365731</v>
      </c>
      <c r="D19" s="23">
        <f>B19+C19</f>
        <v>1401282</v>
      </c>
      <c r="E19" s="23">
        <f>E20+E22+E24+E34+E37</f>
        <v>337140</v>
      </c>
      <c r="F19" s="24">
        <f>D19+E19</f>
        <v>1738422</v>
      </c>
    </row>
    <row r="20" spans="1:6" ht="18" customHeight="1">
      <c r="A20" s="15" t="s">
        <v>6</v>
      </c>
      <c r="B20" s="16">
        <f>B21</f>
        <v>35551</v>
      </c>
      <c r="C20" s="16">
        <f t="shared" ref="C20:E20" si="4">C21</f>
        <v>101735</v>
      </c>
      <c r="D20" s="16">
        <f>D21</f>
        <v>137286</v>
      </c>
      <c r="E20" s="16">
        <f t="shared" si="4"/>
        <v>0</v>
      </c>
      <c r="F20" s="16">
        <f>D20+E20</f>
        <v>137286</v>
      </c>
    </row>
    <row r="21" spans="1:6" ht="18" customHeight="1">
      <c r="A21" s="10" t="s">
        <v>5</v>
      </c>
      <c r="B21" s="13">
        <v>35551</v>
      </c>
      <c r="C21" s="13">
        <v>101735</v>
      </c>
      <c r="D21" s="13">
        <f>B21+C21</f>
        <v>137286</v>
      </c>
      <c r="E21" s="13"/>
      <c r="F21" s="13">
        <f>D21+E21</f>
        <v>137286</v>
      </c>
    </row>
    <row r="22" spans="1:6" ht="18" customHeight="1">
      <c r="A22" s="15" t="s">
        <v>23</v>
      </c>
      <c r="B22" s="16">
        <v>0</v>
      </c>
      <c r="C22" s="16">
        <f>21560+50104</f>
        <v>71664</v>
      </c>
      <c r="D22" s="16">
        <f t="shared" ref="D22:D27" si="5">B22+C22</f>
        <v>71664</v>
      </c>
      <c r="E22" s="16">
        <v>0</v>
      </c>
      <c r="F22" s="16">
        <f t="shared" ref="F22:F35" si="6">D22+E22</f>
        <v>71664</v>
      </c>
    </row>
    <row r="23" spans="1:6" ht="18" customHeight="1">
      <c r="A23" s="15" t="s">
        <v>24</v>
      </c>
      <c r="B23" s="16">
        <v>0</v>
      </c>
      <c r="C23" s="16">
        <v>26420</v>
      </c>
      <c r="D23" s="16">
        <f t="shared" si="5"/>
        <v>26420</v>
      </c>
      <c r="E23" s="16">
        <v>0</v>
      </c>
      <c r="F23" s="16">
        <f t="shared" si="6"/>
        <v>26420</v>
      </c>
    </row>
    <row r="24" spans="1:6" ht="18" customHeight="1">
      <c r="A24" s="15" t="s">
        <v>14</v>
      </c>
      <c r="B24" s="16">
        <v>0</v>
      </c>
      <c r="C24" s="16">
        <f>SUM(C25:C33)</f>
        <v>1158225</v>
      </c>
      <c r="D24" s="16">
        <f t="shared" si="5"/>
        <v>1158225</v>
      </c>
      <c r="E24" s="16">
        <v>0</v>
      </c>
      <c r="F24" s="16">
        <f>D24+E24</f>
        <v>1158225</v>
      </c>
    </row>
    <row r="25" spans="1:6" ht="18" customHeight="1">
      <c r="A25" s="10" t="s">
        <v>90</v>
      </c>
      <c r="B25" s="13"/>
      <c r="C25" s="13">
        <v>237</v>
      </c>
      <c r="D25" s="13">
        <f t="shared" si="5"/>
        <v>237</v>
      </c>
      <c r="E25" s="13"/>
      <c r="F25" s="13">
        <f>D25+E25</f>
        <v>237</v>
      </c>
    </row>
    <row r="26" spans="1:6" ht="18" customHeight="1">
      <c r="A26" s="10" t="s">
        <v>91</v>
      </c>
      <c r="B26" s="13"/>
      <c r="C26" s="13">
        <v>3600</v>
      </c>
      <c r="D26" s="13">
        <f t="shared" si="5"/>
        <v>3600</v>
      </c>
      <c r="E26" s="13"/>
      <c r="F26" s="13">
        <f>D26+E26</f>
        <v>3600</v>
      </c>
    </row>
    <row r="27" spans="1:6" ht="18" customHeight="1">
      <c r="A27" s="10" t="s">
        <v>92</v>
      </c>
      <c r="B27" s="13"/>
      <c r="C27" s="13">
        <v>15000</v>
      </c>
      <c r="D27" s="13">
        <f t="shared" si="5"/>
        <v>15000</v>
      </c>
      <c r="E27" s="13"/>
      <c r="F27" s="13">
        <f>D27+E27</f>
        <v>15000</v>
      </c>
    </row>
    <row r="28" spans="1:6" ht="18" customHeight="1">
      <c r="A28" s="10" t="s">
        <v>16</v>
      </c>
      <c r="B28" s="13"/>
      <c r="C28" s="13">
        <v>158232</v>
      </c>
      <c r="D28" s="13">
        <f t="shared" ref="D28:D33" si="7">B28+C28</f>
        <v>158232</v>
      </c>
      <c r="E28" s="13"/>
      <c r="F28" s="13">
        <f t="shared" ref="F28:F29" si="8">D28+E28</f>
        <v>158232</v>
      </c>
    </row>
    <row r="29" spans="1:6" ht="18" customHeight="1">
      <c r="A29" s="10" t="s">
        <v>93</v>
      </c>
      <c r="B29" s="13"/>
      <c r="C29" s="13">
        <v>126000</v>
      </c>
      <c r="D29" s="13">
        <f t="shared" si="7"/>
        <v>126000</v>
      </c>
      <c r="E29" s="13"/>
      <c r="F29" s="13">
        <f t="shared" si="8"/>
        <v>126000</v>
      </c>
    </row>
    <row r="30" spans="1:6" ht="18" customHeight="1">
      <c r="A30" s="10" t="s">
        <v>15</v>
      </c>
      <c r="B30" s="13"/>
      <c r="C30" s="13">
        <v>803462</v>
      </c>
      <c r="D30" s="13">
        <f t="shared" si="7"/>
        <v>803462</v>
      </c>
      <c r="E30" s="13"/>
      <c r="F30" s="13">
        <f>D30+E30</f>
        <v>803462</v>
      </c>
    </row>
    <row r="31" spans="1:6" ht="18" customHeight="1">
      <c r="A31" s="10" t="s">
        <v>94</v>
      </c>
      <c r="B31" s="13"/>
      <c r="C31" s="13">
        <v>6694</v>
      </c>
      <c r="D31" s="13">
        <f t="shared" si="7"/>
        <v>6694</v>
      </c>
      <c r="E31" s="13"/>
      <c r="F31" s="13">
        <f t="shared" ref="F31:F33" si="9">D31+E31</f>
        <v>6694</v>
      </c>
    </row>
    <row r="32" spans="1:6" ht="18" customHeight="1">
      <c r="A32" s="10" t="s">
        <v>95</v>
      </c>
      <c r="B32" s="13"/>
      <c r="C32" s="13">
        <v>6600</v>
      </c>
      <c r="D32" s="13">
        <f t="shared" si="7"/>
        <v>6600</v>
      </c>
      <c r="E32" s="13"/>
      <c r="F32" s="13">
        <f t="shared" si="9"/>
        <v>6600</v>
      </c>
    </row>
    <row r="33" spans="1:6" ht="18" customHeight="1">
      <c r="A33" s="10" t="s">
        <v>44</v>
      </c>
      <c r="B33" s="13"/>
      <c r="C33" s="13">
        <f>3200*12</f>
        <v>38400</v>
      </c>
      <c r="D33" s="13">
        <f t="shared" si="7"/>
        <v>38400</v>
      </c>
      <c r="E33" s="13"/>
      <c r="F33" s="13">
        <f t="shared" si="9"/>
        <v>38400</v>
      </c>
    </row>
    <row r="34" spans="1:6" ht="18" customHeight="1">
      <c r="A34" s="15" t="s">
        <v>17</v>
      </c>
      <c r="B34" s="16">
        <f>SUM(B35:B36)</f>
        <v>0</v>
      </c>
      <c r="C34" s="16">
        <f>SUM(C35:C36)</f>
        <v>7687</v>
      </c>
      <c r="D34" s="16">
        <f>B34+C34</f>
        <v>7687</v>
      </c>
      <c r="E34" s="16">
        <f>SUM(E35:E36)</f>
        <v>8000</v>
      </c>
      <c r="F34" s="16">
        <f>D34+E34</f>
        <v>15687</v>
      </c>
    </row>
    <row r="35" spans="1:6" ht="18" customHeight="1">
      <c r="A35" s="10" t="s">
        <v>45</v>
      </c>
      <c r="B35" s="13"/>
      <c r="C35" s="13">
        <v>7687</v>
      </c>
      <c r="D35" s="13">
        <v>7687</v>
      </c>
      <c r="E35" s="13"/>
      <c r="F35" s="13">
        <f t="shared" si="6"/>
        <v>7687</v>
      </c>
    </row>
    <row r="36" spans="1:6" ht="18" customHeight="1">
      <c r="A36" s="17" t="s">
        <v>46</v>
      </c>
      <c r="B36" s="18"/>
      <c r="C36" s="18">
        <v>0</v>
      </c>
      <c r="D36" s="13">
        <f t="shared" ref="D36" si="10">B36+C36</f>
        <v>0</v>
      </c>
      <c r="E36" s="18">
        <v>8000</v>
      </c>
      <c r="F36" s="18">
        <f>D36+E36</f>
        <v>8000</v>
      </c>
    </row>
    <row r="37" spans="1:6" ht="18" customHeight="1">
      <c r="A37" s="15" t="s">
        <v>96</v>
      </c>
      <c r="B37" s="16"/>
      <c r="C37" s="16">
        <v>0</v>
      </c>
      <c r="D37" s="16">
        <f>B37+C37</f>
        <v>0</v>
      </c>
      <c r="E37" s="16">
        <f>SUM(E38:E44)</f>
        <v>329140</v>
      </c>
      <c r="F37" s="16">
        <f>D37+E37</f>
        <v>329140</v>
      </c>
    </row>
    <row r="38" spans="1:6" ht="18" customHeight="1">
      <c r="A38" s="17" t="s">
        <v>100</v>
      </c>
      <c r="B38" s="18"/>
      <c r="C38" s="18"/>
      <c r="D38" s="18"/>
      <c r="E38" s="18">
        <v>150</v>
      </c>
      <c r="F38" s="18">
        <f t="shared" ref="F38:F44" si="11">E38</f>
        <v>150</v>
      </c>
    </row>
    <row r="39" spans="1:6" ht="18" customHeight="1">
      <c r="A39" s="17" t="s">
        <v>97</v>
      </c>
      <c r="B39" s="18"/>
      <c r="C39" s="18"/>
      <c r="D39" s="18"/>
      <c r="E39" s="18">
        <v>46000</v>
      </c>
      <c r="F39" s="18">
        <f t="shared" si="11"/>
        <v>46000</v>
      </c>
    </row>
    <row r="40" spans="1:6" ht="18" customHeight="1">
      <c r="A40" s="17" t="s">
        <v>73</v>
      </c>
      <c r="B40" s="18"/>
      <c r="C40" s="18"/>
      <c r="D40" s="18"/>
      <c r="E40" s="18">
        <f>3400+3000+3000+2000</f>
        <v>11400</v>
      </c>
      <c r="F40" s="18">
        <f t="shared" si="11"/>
        <v>11400</v>
      </c>
    </row>
    <row r="41" spans="1:6" ht="18" customHeight="1">
      <c r="A41" s="17" t="s">
        <v>98</v>
      </c>
      <c r="B41" s="18"/>
      <c r="C41" s="18"/>
      <c r="D41" s="18"/>
      <c r="E41" s="18">
        <v>228000</v>
      </c>
      <c r="F41" s="18">
        <f t="shared" si="11"/>
        <v>228000</v>
      </c>
    </row>
    <row r="42" spans="1:6" ht="18" customHeight="1">
      <c r="A42" s="17" t="s">
        <v>99</v>
      </c>
      <c r="B42" s="18"/>
      <c r="C42" s="18"/>
      <c r="D42" s="18"/>
      <c r="E42" s="18">
        <v>21000</v>
      </c>
      <c r="F42" s="18">
        <f t="shared" si="11"/>
        <v>21000</v>
      </c>
    </row>
    <row r="43" spans="1:6" ht="18" customHeight="1">
      <c r="A43" s="17" t="s">
        <v>101</v>
      </c>
      <c r="B43" s="18"/>
      <c r="C43" s="18"/>
      <c r="D43" s="18"/>
      <c r="E43" s="18">
        <v>390</v>
      </c>
      <c r="F43" s="18">
        <f t="shared" si="11"/>
        <v>390</v>
      </c>
    </row>
    <row r="44" spans="1:6" ht="18" customHeight="1">
      <c r="A44" s="17" t="s">
        <v>102</v>
      </c>
      <c r="B44" s="18"/>
      <c r="C44" s="18"/>
      <c r="D44" s="18"/>
      <c r="E44" s="18">
        <f>12000+1200+9000</f>
        <v>22200</v>
      </c>
      <c r="F44" s="18">
        <f t="shared" si="11"/>
        <v>22200</v>
      </c>
    </row>
    <row r="45" spans="1:6" s="19" customFormat="1" ht="18" customHeight="1">
      <c r="A45" s="11" t="s">
        <v>22</v>
      </c>
      <c r="B45" s="12">
        <f>B5+B6-B19</f>
        <v>2875</v>
      </c>
      <c r="C45" s="12">
        <f>C5+C6-C19</f>
        <v>2300078</v>
      </c>
      <c r="D45" s="12">
        <f>D5+D6-D19</f>
        <v>2302953</v>
      </c>
      <c r="E45" s="12">
        <f>E5+E6-E19</f>
        <v>135300</v>
      </c>
      <c r="F45" s="12">
        <f>D45+E45</f>
        <v>2438253</v>
      </c>
    </row>
  </sheetData>
  <mergeCells count="5">
    <mergeCell ref="B3:D3"/>
    <mergeCell ref="A1:F1"/>
    <mergeCell ref="A2:F2"/>
    <mergeCell ref="F3:F4"/>
    <mergeCell ref="E3:E4"/>
  </mergeCells>
  <printOptions horizontalCentered="1"/>
  <pageMargins left="0.70866141732283472" right="0.51181102362204722" top="0.47244094488188981" bottom="0.47244094488188981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workbookViewId="0">
      <selection activeCell="E28" sqref="E28"/>
    </sheetView>
  </sheetViews>
  <sheetFormatPr defaultRowHeight="12.75"/>
  <cols>
    <col min="1" max="1" width="3.42578125" style="31" customWidth="1"/>
    <col min="2" max="2" width="24.85546875" style="30" customWidth="1"/>
    <col min="3" max="3" width="9.85546875" style="31" bestFit="1" customWidth="1"/>
    <col min="4" max="4" width="33.7109375" style="30" customWidth="1"/>
    <col min="5" max="5" width="8.5703125" style="30" customWidth="1"/>
    <col min="6" max="6" width="38.140625" style="30" customWidth="1"/>
    <col min="7" max="7" width="8.7109375" style="30" customWidth="1"/>
    <col min="8" max="8" width="10.42578125" style="31" customWidth="1"/>
    <col min="9" max="16384" width="9.140625" style="30"/>
  </cols>
  <sheetData>
    <row r="1" spans="1:8">
      <c r="A1" s="64" t="s">
        <v>53</v>
      </c>
      <c r="B1" s="64"/>
      <c r="C1" s="64"/>
      <c r="D1" s="64"/>
      <c r="E1" s="64"/>
      <c r="F1" s="64"/>
      <c r="G1" s="64"/>
      <c r="H1" s="64"/>
    </row>
    <row r="2" spans="1:8">
      <c r="A2" s="64" t="str">
        <f>'ОДДС 2021'!A2:F2</f>
        <v>за период: 01.01.2021 - 31.12.2021</v>
      </c>
      <c r="B2" s="64"/>
      <c r="C2" s="64"/>
      <c r="D2" s="64"/>
      <c r="E2" s="64"/>
      <c r="F2" s="64"/>
      <c r="G2" s="64"/>
      <c r="H2" s="64"/>
    </row>
    <row r="3" spans="1:8">
      <c r="C3" s="39"/>
      <c r="H3" s="39"/>
    </row>
    <row r="4" spans="1:8" s="45" customFormat="1" ht="34.5" customHeight="1">
      <c r="A4" s="44" t="s">
        <v>83</v>
      </c>
      <c r="B4" s="44" t="s">
        <v>84</v>
      </c>
      <c r="C4" s="44" t="s">
        <v>104</v>
      </c>
      <c r="D4" s="42" t="s">
        <v>54</v>
      </c>
      <c r="E4" s="43" t="s">
        <v>3</v>
      </c>
      <c r="F4" s="42" t="s">
        <v>55</v>
      </c>
      <c r="G4" s="43" t="s">
        <v>4</v>
      </c>
      <c r="H4" s="44" t="s">
        <v>105</v>
      </c>
    </row>
    <row r="5" spans="1:8">
      <c r="A5" s="38">
        <v>1</v>
      </c>
      <c r="B5" s="46" t="s">
        <v>66</v>
      </c>
      <c r="C5" s="49">
        <v>503464</v>
      </c>
      <c r="D5" s="46" t="s">
        <v>67</v>
      </c>
      <c r="E5" s="47">
        <f>SUM(E6:E9)</f>
        <v>544463</v>
      </c>
      <c r="F5" s="46" t="s">
        <v>68</v>
      </c>
      <c r="G5" s="47">
        <f>SUM(G6:G16)</f>
        <v>438550</v>
      </c>
      <c r="H5" s="48">
        <f>C5+E5-G5</f>
        <v>609377</v>
      </c>
    </row>
    <row r="6" spans="1:8">
      <c r="A6" s="40"/>
      <c r="B6" s="32"/>
      <c r="C6" s="50"/>
      <c r="D6" s="32" t="s">
        <v>76</v>
      </c>
      <c r="E6" s="33">
        <v>400</v>
      </c>
      <c r="F6" s="32" t="s">
        <v>56</v>
      </c>
      <c r="G6" s="33">
        <v>137286</v>
      </c>
      <c r="H6" s="41"/>
    </row>
    <row r="7" spans="1:8">
      <c r="A7" s="40"/>
      <c r="B7" s="32"/>
      <c r="C7" s="50"/>
      <c r="D7" s="32" t="s">
        <v>69</v>
      </c>
      <c r="E7" s="33">
        <v>531773</v>
      </c>
      <c r="F7" s="33" t="str">
        <f>'[1]ОДДС 2019'!A28</f>
        <v>Налоги и сборы от ФОТ</v>
      </c>
      <c r="G7" s="33">
        <v>71664</v>
      </c>
      <c r="H7" s="41"/>
    </row>
    <row r="8" spans="1:8">
      <c r="A8" s="40"/>
      <c r="B8" s="32"/>
      <c r="C8" s="50"/>
      <c r="D8" s="32" t="s">
        <v>43</v>
      </c>
      <c r="E8" s="33">
        <v>12290</v>
      </c>
      <c r="F8" s="32" t="s">
        <v>107</v>
      </c>
      <c r="G8" s="33">
        <v>237</v>
      </c>
      <c r="H8" s="41"/>
    </row>
    <row r="9" spans="1:8">
      <c r="A9" s="40"/>
      <c r="B9" s="32"/>
      <c r="C9" s="50"/>
      <c r="D9" s="32"/>
      <c r="E9" s="33"/>
      <c r="F9" s="32" t="str">
        <f>'[1]ОДДС 2019'!A32</f>
        <v>ИП Долбня НВ, бухгалтерское обслуживание</v>
      </c>
      <c r="G9" s="33">
        <v>158232</v>
      </c>
      <c r="H9" s="41"/>
    </row>
    <row r="10" spans="1:8">
      <c r="A10" s="40"/>
      <c r="B10" s="32"/>
      <c r="C10" s="50"/>
      <c r="D10" s="32"/>
      <c r="E10" s="33"/>
      <c r="F10" s="32" t="str">
        <f>'[1]ОДДС 2019'!A37</f>
        <v>Элемент, обслуживание электрохозяйства</v>
      </c>
      <c r="G10" s="33">
        <v>38400</v>
      </c>
      <c r="H10" s="41"/>
    </row>
    <row r="11" spans="1:8">
      <c r="A11" s="40"/>
      <c r="B11" s="32"/>
      <c r="C11" s="50"/>
      <c r="D11" s="32"/>
      <c r="E11" s="33"/>
      <c r="F11" s="33" t="s">
        <v>108</v>
      </c>
      <c r="G11" s="33">
        <v>3600</v>
      </c>
      <c r="H11" s="41"/>
    </row>
    <row r="12" spans="1:8">
      <c r="A12" s="40"/>
      <c r="B12" s="32"/>
      <c r="C12" s="50"/>
      <c r="D12" s="32"/>
      <c r="E12" s="33"/>
      <c r="F12" s="33" t="s">
        <v>95</v>
      </c>
      <c r="G12" s="33">
        <v>6600</v>
      </c>
      <c r="H12" s="41"/>
    </row>
    <row r="13" spans="1:8">
      <c r="A13" s="40"/>
      <c r="B13" s="32"/>
      <c r="C13" s="50"/>
      <c r="D13" s="32"/>
      <c r="E13" s="33"/>
      <c r="F13" s="33" t="s">
        <v>70</v>
      </c>
      <c r="G13" s="33">
        <v>7687</v>
      </c>
      <c r="H13" s="41"/>
    </row>
    <row r="14" spans="1:8">
      <c r="A14" s="40"/>
      <c r="B14" s="32"/>
      <c r="C14" s="50"/>
      <c r="D14" s="32"/>
      <c r="E14" s="33"/>
      <c r="F14" s="33" t="s">
        <v>82</v>
      </c>
      <c r="G14" s="33">
        <v>150</v>
      </c>
      <c r="H14" s="41"/>
    </row>
    <row r="15" spans="1:8">
      <c r="A15" s="40"/>
      <c r="B15" s="32"/>
      <c r="C15" s="50"/>
      <c r="D15" s="32"/>
      <c r="E15" s="33"/>
      <c r="F15" s="33" t="s">
        <v>94</v>
      </c>
      <c r="G15" s="33">
        <v>6694</v>
      </c>
      <c r="H15" s="41"/>
    </row>
    <row r="16" spans="1:8">
      <c r="A16" s="40"/>
      <c r="B16" s="32"/>
      <c r="C16" s="50"/>
      <c r="D16" s="32"/>
      <c r="E16" s="33"/>
      <c r="F16" s="33" t="s">
        <v>111</v>
      </c>
      <c r="G16" s="33">
        <v>8000</v>
      </c>
      <c r="H16" s="41"/>
    </row>
    <row r="17" spans="1:9">
      <c r="A17" s="38">
        <v>2</v>
      </c>
      <c r="B17" s="46" t="s">
        <v>71</v>
      </c>
      <c r="C17" s="49">
        <v>61837</v>
      </c>
      <c r="D17" s="46" t="s">
        <v>67</v>
      </c>
      <c r="E17" s="47">
        <f>SUM(E18:E20)</f>
        <v>832881</v>
      </c>
      <c r="F17" s="46" t="s">
        <v>68</v>
      </c>
      <c r="G17" s="47">
        <f>SUM(G18:G20)</f>
        <v>818852</v>
      </c>
      <c r="H17" s="48">
        <f>C17+E17-G17</f>
        <v>75866</v>
      </c>
    </row>
    <row r="18" spans="1:9">
      <c r="A18" s="40"/>
      <c r="B18" s="32"/>
      <c r="C18" s="50"/>
      <c r="D18" s="33" t="s">
        <v>77</v>
      </c>
      <c r="E18" s="33">
        <v>832881</v>
      </c>
      <c r="F18" s="32" t="s">
        <v>15</v>
      </c>
      <c r="G18" s="33">
        <v>803462</v>
      </c>
      <c r="H18" s="41"/>
    </row>
    <row r="19" spans="1:9">
      <c r="A19" s="40"/>
      <c r="B19" s="32"/>
      <c r="C19" s="50"/>
      <c r="D19" s="32"/>
      <c r="E19" s="33"/>
      <c r="F19" s="32" t="s">
        <v>109</v>
      </c>
      <c r="G19" s="33">
        <v>15000</v>
      </c>
      <c r="H19" s="41"/>
    </row>
    <row r="20" spans="1:9">
      <c r="A20" s="40"/>
      <c r="B20" s="32"/>
      <c r="C20" s="50"/>
      <c r="D20" s="32"/>
      <c r="E20" s="33"/>
      <c r="F20" s="32" t="s">
        <v>101</v>
      </c>
      <c r="G20" s="33">
        <v>390</v>
      </c>
      <c r="H20" s="41"/>
    </row>
    <row r="21" spans="1:9">
      <c r="A21" s="38">
        <v>3</v>
      </c>
      <c r="B21" s="46" t="s">
        <v>72</v>
      </c>
      <c r="C21" s="49">
        <v>227562</v>
      </c>
      <c r="D21" s="46" t="s">
        <v>67</v>
      </c>
      <c r="E21" s="47">
        <f>SUM(E22:E22)</f>
        <v>52500</v>
      </c>
      <c r="F21" s="46" t="s">
        <v>68</v>
      </c>
      <c r="G21" s="47">
        <f>SUM(G22:G22)</f>
        <v>11400</v>
      </c>
      <c r="H21" s="48">
        <f>C21+E21-G21</f>
        <v>268662</v>
      </c>
    </row>
    <row r="22" spans="1:9">
      <c r="A22" s="40"/>
      <c r="B22" s="32"/>
      <c r="C22" s="50"/>
      <c r="D22" s="33" t="s">
        <v>73</v>
      </c>
      <c r="E22" s="33">
        <v>52500</v>
      </c>
      <c r="F22" s="32" t="s">
        <v>73</v>
      </c>
      <c r="G22" s="33">
        <v>11400</v>
      </c>
      <c r="H22" s="41"/>
    </row>
    <row r="23" spans="1:9">
      <c r="A23" s="38">
        <v>4</v>
      </c>
      <c r="B23" s="46" t="s">
        <v>74</v>
      </c>
      <c r="C23" s="49">
        <v>33145</v>
      </c>
      <c r="D23" s="46" t="s">
        <v>67</v>
      </c>
      <c r="E23" s="47">
        <f>SUM(E24:E24)</f>
        <v>6126</v>
      </c>
      <c r="F23" s="46" t="s">
        <v>68</v>
      </c>
      <c r="G23" s="47">
        <f>SUM(G24:G24)</f>
        <v>0</v>
      </c>
      <c r="H23" s="48">
        <f>C23+E23-G23</f>
        <v>39271</v>
      </c>
    </row>
    <row r="24" spans="1:9">
      <c r="A24" s="40"/>
      <c r="B24" s="32"/>
      <c r="C24" s="50"/>
      <c r="D24" s="33" t="s">
        <v>75</v>
      </c>
      <c r="E24" s="33">
        <v>6126</v>
      </c>
      <c r="F24" s="32"/>
      <c r="G24" s="33"/>
      <c r="H24" s="41"/>
    </row>
    <row r="25" spans="1:9">
      <c r="A25" s="38">
        <v>5</v>
      </c>
      <c r="B25" s="46" t="s">
        <v>78</v>
      </c>
      <c r="C25" s="49">
        <v>12826</v>
      </c>
      <c r="D25" s="46" t="s">
        <v>67</v>
      </c>
      <c r="E25" s="47">
        <f>SUM(E26:E26)</f>
        <v>3484</v>
      </c>
      <c r="F25" s="46" t="s">
        <v>68</v>
      </c>
      <c r="G25" s="47">
        <f>SUM(G26:G26)</f>
        <v>0</v>
      </c>
      <c r="H25" s="48">
        <f>C25+E25-G25</f>
        <v>16310</v>
      </c>
    </row>
    <row r="26" spans="1:9">
      <c r="A26" s="40"/>
      <c r="B26" s="32"/>
      <c r="C26" s="50"/>
      <c r="D26" s="33" t="s">
        <v>79</v>
      </c>
      <c r="E26" s="33">
        <v>3484</v>
      </c>
      <c r="F26" s="32"/>
      <c r="G26" s="33"/>
      <c r="H26" s="41"/>
    </row>
    <row r="27" spans="1:9">
      <c r="A27" s="38">
        <v>6</v>
      </c>
      <c r="B27" s="46" t="s">
        <v>24</v>
      </c>
      <c r="C27" s="49">
        <v>-796</v>
      </c>
      <c r="D27" s="46" t="s">
        <v>67</v>
      </c>
      <c r="E27" s="47">
        <f>SUM(E28:E28)</f>
        <v>23027</v>
      </c>
      <c r="F27" s="46" t="s">
        <v>68</v>
      </c>
      <c r="G27" s="47">
        <f>SUM(G28:G28)</f>
        <v>26420</v>
      </c>
      <c r="H27" s="48">
        <f>C27+E27-G27</f>
        <v>-4189</v>
      </c>
    </row>
    <row r="28" spans="1:9">
      <c r="A28" s="40"/>
      <c r="B28" s="32"/>
      <c r="C28" s="50"/>
      <c r="D28" s="33" t="s">
        <v>80</v>
      </c>
      <c r="E28" s="33">
        <v>23027</v>
      </c>
      <c r="F28" s="32" t="s">
        <v>24</v>
      </c>
      <c r="G28" s="33">
        <v>26420</v>
      </c>
      <c r="H28" s="41"/>
    </row>
    <row r="29" spans="1:9">
      <c r="A29" s="38">
        <v>7</v>
      </c>
      <c r="B29" s="46" t="s">
        <v>81</v>
      </c>
      <c r="C29" s="49">
        <v>202202</v>
      </c>
      <c r="D29" s="46" t="s">
        <v>67</v>
      </c>
      <c r="E29" s="47">
        <f>SUM(E30:E33)</f>
        <v>1673954</v>
      </c>
      <c r="F29" s="46" t="s">
        <v>68</v>
      </c>
      <c r="G29" s="47">
        <f>SUM(G30:G34)</f>
        <v>443200</v>
      </c>
      <c r="H29" s="48">
        <f>C29+E29-G29</f>
        <v>1432956</v>
      </c>
    </row>
    <row r="30" spans="1:9">
      <c r="A30" s="40"/>
      <c r="B30" s="32"/>
      <c r="C30" s="50"/>
      <c r="D30" s="32" t="s">
        <v>81</v>
      </c>
      <c r="E30" s="33">
        <v>284532</v>
      </c>
      <c r="F30" s="32" t="s">
        <v>110</v>
      </c>
      <c r="G30" s="33">
        <v>126000</v>
      </c>
      <c r="H30" s="41"/>
    </row>
    <row r="31" spans="1:9">
      <c r="A31" s="40"/>
      <c r="B31" s="32"/>
      <c r="C31" s="50"/>
      <c r="D31" s="32" t="s">
        <v>106</v>
      </c>
      <c r="E31" s="33">
        <v>1389422</v>
      </c>
      <c r="F31" s="32" t="s">
        <v>112</v>
      </c>
      <c r="G31" s="33">
        <v>228000</v>
      </c>
      <c r="H31" s="41"/>
      <c r="I31" s="35"/>
    </row>
    <row r="32" spans="1:9">
      <c r="A32" s="40"/>
      <c r="B32" s="32"/>
      <c r="C32" s="50"/>
      <c r="D32" s="32"/>
      <c r="E32" s="33"/>
      <c r="F32" s="54" t="s">
        <v>99</v>
      </c>
      <c r="G32" s="33">
        <v>21000</v>
      </c>
      <c r="H32" s="41"/>
    </row>
    <row r="33" spans="1:8">
      <c r="A33" s="40"/>
      <c r="B33" s="32"/>
      <c r="C33" s="50"/>
      <c r="D33" s="32"/>
      <c r="E33" s="33"/>
      <c r="F33" s="53" t="s">
        <v>97</v>
      </c>
      <c r="G33" s="33">
        <v>46000</v>
      </c>
      <c r="H33" s="41"/>
    </row>
    <row r="34" spans="1:8">
      <c r="A34" s="40"/>
      <c r="B34" s="32"/>
      <c r="C34" s="50"/>
      <c r="D34" s="32"/>
      <c r="E34" s="33"/>
      <c r="F34" s="32" t="s">
        <v>113</v>
      </c>
      <c r="G34" s="33">
        <v>22200</v>
      </c>
      <c r="H34" s="41"/>
    </row>
    <row r="35" spans="1:8">
      <c r="C35" s="51"/>
      <c r="E35" s="35"/>
      <c r="G35" s="35"/>
      <c r="H35" s="34"/>
    </row>
    <row r="36" spans="1:8">
      <c r="B36" s="30" t="s">
        <v>57</v>
      </c>
      <c r="C36" s="51">
        <f>SUM(C5:C34)</f>
        <v>1040240</v>
      </c>
      <c r="D36" s="31"/>
      <c r="E36" s="34">
        <f>E5+E17+E21+E23+E25+E27+E29</f>
        <v>3136435</v>
      </c>
      <c r="G36" s="34">
        <f>G5+G17+G21+G23+G25+G27+G29</f>
        <v>1738422</v>
      </c>
      <c r="H36" s="34">
        <f>SUM(H5:H34)</f>
        <v>2438253</v>
      </c>
    </row>
    <row r="37" spans="1:8">
      <c r="D37" s="34"/>
      <c r="E37" s="34"/>
      <c r="F37" s="35"/>
      <c r="G37" s="34"/>
      <c r="H37" s="34"/>
    </row>
    <row r="38" spans="1:8">
      <c r="B38" s="30" t="s">
        <v>120</v>
      </c>
      <c r="D38" s="37"/>
      <c r="E38" s="36" t="s">
        <v>58</v>
      </c>
      <c r="F38" s="36" t="s">
        <v>59</v>
      </c>
      <c r="G38" s="34">
        <v>4</v>
      </c>
      <c r="H38" s="34">
        <f>SUM(G38:G44)</f>
        <v>2438253.34</v>
      </c>
    </row>
    <row r="39" spans="1:8">
      <c r="F39" s="36" t="s">
        <v>60</v>
      </c>
      <c r="G39" s="34">
        <v>1600077.96</v>
      </c>
      <c r="H39" s="34"/>
    </row>
    <row r="40" spans="1:8">
      <c r="F40" s="36" t="s">
        <v>61</v>
      </c>
      <c r="G40" s="34">
        <v>700000</v>
      </c>
      <c r="H40" s="34"/>
    </row>
    <row r="41" spans="1:8">
      <c r="F41" s="36" t="s">
        <v>62</v>
      </c>
      <c r="G41" s="34">
        <v>121936.11</v>
      </c>
      <c r="H41" s="34"/>
    </row>
    <row r="42" spans="1:8">
      <c r="F42" s="36" t="s">
        <v>63</v>
      </c>
      <c r="G42" s="34">
        <f>18242-46</f>
        <v>18196</v>
      </c>
      <c r="H42" s="34"/>
    </row>
    <row r="43" spans="1:8">
      <c r="F43" s="36" t="s">
        <v>64</v>
      </c>
      <c r="G43" s="34">
        <v>-33</v>
      </c>
    </row>
    <row r="44" spans="1:8">
      <c r="F44" s="36" t="s">
        <v>65</v>
      </c>
      <c r="G44" s="34">
        <v>-1927.73</v>
      </c>
    </row>
  </sheetData>
  <mergeCells count="2">
    <mergeCell ref="A1:H1"/>
    <mergeCell ref="A2:H2"/>
  </mergeCells>
  <printOptions horizontalCentered="1"/>
  <pageMargins left="0.39370078740157483" right="0.39370078740157483" top="0.74803149606299213" bottom="0.39370078740157483" header="0.31496062992125984" footer="0.31496062992125984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0"/>
  <sheetViews>
    <sheetView workbookViewId="0">
      <selection activeCell="A8" sqref="A8"/>
    </sheetView>
  </sheetViews>
  <sheetFormatPr defaultRowHeight="15.75"/>
  <cols>
    <col min="1" max="1" width="72" style="10" bestFit="1" customWidth="1"/>
    <col min="2" max="2" width="11.140625" style="14" bestFit="1" customWidth="1"/>
    <col min="3" max="3" width="10.140625" style="14" bestFit="1" customWidth="1"/>
    <col min="4" max="4" width="10.85546875" style="14" bestFit="1" customWidth="1"/>
    <col min="5" max="5" width="9.140625" style="55"/>
    <col min="6" max="16384" width="9.140625" style="9"/>
  </cols>
  <sheetData>
    <row r="1" spans="1:5">
      <c r="A1" s="65" t="s">
        <v>51</v>
      </c>
      <c r="B1" s="65"/>
      <c r="C1" s="65"/>
      <c r="D1" s="65"/>
    </row>
    <row r="2" spans="1:5" ht="18" customHeight="1">
      <c r="A2" s="61" t="s">
        <v>114</v>
      </c>
      <c r="B2" s="61"/>
      <c r="C2" s="61"/>
      <c r="D2" s="61"/>
    </row>
    <row r="3" spans="1:5" ht="18" customHeight="1">
      <c r="A3" s="61" t="s">
        <v>88</v>
      </c>
      <c r="B3" s="61"/>
      <c r="C3" s="61"/>
      <c r="D3" s="61"/>
    </row>
    <row r="4" spans="1:5" ht="18" customHeight="1" thickBot="1">
      <c r="A4" s="10" t="s">
        <v>115</v>
      </c>
      <c r="B4" s="52" t="s">
        <v>21</v>
      </c>
      <c r="C4" s="52" t="s">
        <v>41</v>
      </c>
      <c r="D4" s="52" t="s">
        <v>116</v>
      </c>
      <c r="E4" s="55" t="s">
        <v>117</v>
      </c>
    </row>
    <row r="5" spans="1:5" ht="18" customHeight="1" thickBot="1">
      <c r="A5" s="22" t="s">
        <v>1</v>
      </c>
      <c r="B5" s="23">
        <v>38426</v>
      </c>
      <c r="C5" s="23">
        <v>681632</v>
      </c>
      <c r="D5" s="23">
        <f>B5+C5</f>
        <v>720058</v>
      </c>
    </row>
    <row r="6" spans="1:5" s="14" customFormat="1" ht="18" customHeight="1" thickBot="1">
      <c r="A6" s="22" t="s">
        <v>3</v>
      </c>
      <c r="B6" s="23">
        <f>B7+B15</f>
        <v>0</v>
      </c>
      <c r="C6" s="23">
        <f>C7+C15</f>
        <v>2984177</v>
      </c>
      <c r="D6" s="23">
        <f>B6+C6</f>
        <v>2984177</v>
      </c>
      <c r="E6" s="55"/>
    </row>
    <row r="7" spans="1:5" ht="18" customHeight="1">
      <c r="A7" s="15" t="s">
        <v>8</v>
      </c>
      <c r="B7" s="25">
        <f>SUM(B8:B14)</f>
        <v>0</v>
      </c>
      <c r="C7" s="26">
        <f>SUM(C8:C14)</f>
        <v>1582465</v>
      </c>
      <c r="D7" s="25">
        <f>B7+C7</f>
        <v>1582465</v>
      </c>
      <c r="E7" s="55">
        <v>6220</v>
      </c>
    </row>
    <row r="8" spans="1:5" ht="18" customHeight="1">
      <c r="A8" s="10" t="s">
        <v>10</v>
      </c>
      <c r="B8" s="13"/>
      <c r="C8" s="13">
        <f>832778+104-1</f>
        <v>832881</v>
      </c>
      <c r="D8" s="13">
        <f>B8+C8</f>
        <v>832881</v>
      </c>
    </row>
    <row r="9" spans="1:5" ht="18" customHeight="1">
      <c r="A9" s="10" t="s">
        <v>11</v>
      </c>
      <c r="B9" s="13"/>
      <c r="C9" s="13">
        <v>6126</v>
      </c>
      <c r="D9" s="13">
        <f t="shared" ref="D9:D14" si="0">B9+C9</f>
        <v>6126</v>
      </c>
    </row>
    <row r="10" spans="1:5" ht="18" customHeight="1">
      <c r="A10" s="10" t="s">
        <v>12</v>
      </c>
      <c r="B10" s="13"/>
      <c r="C10" s="13">
        <f>2484+1000</f>
        <v>3484</v>
      </c>
      <c r="D10" s="13">
        <f t="shared" si="0"/>
        <v>3484</v>
      </c>
    </row>
    <row r="11" spans="1:5" ht="18" customHeight="1">
      <c r="A11" s="10" t="s">
        <v>13</v>
      </c>
      <c r="B11" s="13"/>
      <c r="C11" s="13">
        <f>21841+659+527</f>
        <v>23027</v>
      </c>
      <c r="D11" s="13">
        <f t="shared" si="0"/>
        <v>23027</v>
      </c>
    </row>
    <row r="12" spans="1:5" ht="18" customHeight="1">
      <c r="A12" s="10" t="s">
        <v>20</v>
      </c>
      <c r="B12" s="13"/>
      <c r="C12" s="13">
        <f>200+200</f>
        <v>400</v>
      </c>
      <c r="D12" s="13">
        <f t="shared" si="0"/>
        <v>400</v>
      </c>
    </row>
    <row r="13" spans="1:5" ht="18" customHeight="1">
      <c r="A13" s="10" t="s">
        <v>9</v>
      </c>
      <c r="B13" s="13"/>
      <c r="C13" s="13">
        <f>500070+14840+16863</f>
        <v>531773</v>
      </c>
      <c r="D13" s="13">
        <f t="shared" si="0"/>
        <v>531773</v>
      </c>
    </row>
    <row r="14" spans="1:5" ht="18" customHeight="1">
      <c r="A14" s="10" t="s">
        <v>19</v>
      </c>
      <c r="B14" s="13"/>
      <c r="C14" s="13">
        <v>184774</v>
      </c>
      <c r="D14" s="13">
        <f t="shared" si="0"/>
        <v>184774</v>
      </c>
    </row>
    <row r="15" spans="1:5" ht="18" customHeight="1">
      <c r="A15" s="15" t="s">
        <v>42</v>
      </c>
      <c r="B15" s="16">
        <f>B17</f>
        <v>0</v>
      </c>
      <c r="C15" s="16">
        <f>C17+C16</f>
        <v>1401712</v>
      </c>
      <c r="D15" s="16">
        <f>D17+D16</f>
        <v>1401712</v>
      </c>
    </row>
    <row r="16" spans="1:5" ht="18" customHeight="1">
      <c r="A16" s="10" t="s">
        <v>89</v>
      </c>
      <c r="B16" s="27"/>
      <c r="C16" s="27">
        <v>1389422</v>
      </c>
      <c r="D16" s="27">
        <f>B16+C16</f>
        <v>1389422</v>
      </c>
      <c r="E16" s="55">
        <v>6220</v>
      </c>
    </row>
    <row r="17" spans="1:5" ht="18" customHeight="1" thickBot="1">
      <c r="A17" s="10" t="s">
        <v>43</v>
      </c>
      <c r="B17" s="27"/>
      <c r="C17" s="27">
        <v>12290</v>
      </c>
      <c r="D17" s="27">
        <f>B17+C17</f>
        <v>12290</v>
      </c>
      <c r="E17" s="55">
        <v>6250</v>
      </c>
    </row>
    <row r="18" spans="1:5" s="14" customFormat="1" ht="18" customHeight="1" thickBot="1">
      <c r="A18" s="22" t="s">
        <v>4</v>
      </c>
      <c r="B18" s="23">
        <f>B19+B21+B22+B23+B33</f>
        <v>35551</v>
      </c>
      <c r="C18" s="23">
        <f>C19+C21+C22+C23+C33</f>
        <v>1365731</v>
      </c>
      <c r="D18" s="23">
        <f>B18+C18</f>
        <v>1401282</v>
      </c>
      <c r="E18" s="55"/>
    </row>
    <row r="19" spans="1:5" ht="18" customHeight="1">
      <c r="A19" s="15" t="s">
        <v>6</v>
      </c>
      <c r="B19" s="16">
        <f>B20</f>
        <v>35551</v>
      </c>
      <c r="C19" s="16">
        <f t="shared" ref="C19" si="1">C20</f>
        <v>101735</v>
      </c>
      <c r="D19" s="16">
        <f>D20</f>
        <v>137286</v>
      </c>
      <c r="E19" s="55">
        <v>6320</v>
      </c>
    </row>
    <row r="20" spans="1:5" ht="18" customHeight="1">
      <c r="A20" s="10" t="s">
        <v>5</v>
      </c>
      <c r="B20" s="13">
        <v>35551</v>
      </c>
      <c r="C20" s="13">
        <v>101735</v>
      </c>
      <c r="D20" s="13">
        <f>B20+C20</f>
        <v>137286</v>
      </c>
    </row>
    <row r="21" spans="1:5" ht="18" customHeight="1">
      <c r="A21" s="15" t="s">
        <v>23</v>
      </c>
      <c r="B21" s="16">
        <v>0</v>
      </c>
      <c r="C21" s="16">
        <f>21560+50104</f>
        <v>71664</v>
      </c>
      <c r="D21" s="16">
        <f t="shared" ref="D21:D32" si="2">B21+C21</f>
        <v>71664</v>
      </c>
      <c r="E21" s="55">
        <v>6320</v>
      </c>
    </row>
    <row r="22" spans="1:5" ht="18" customHeight="1">
      <c r="A22" s="15" t="s">
        <v>24</v>
      </c>
      <c r="B22" s="16">
        <v>0</v>
      </c>
      <c r="C22" s="16">
        <v>26420</v>
      </c>
      <c r="D22" s="16">
        <f t="shared" si="2"/>
        <v>26420</v>
      </c>
      <c r="E22" s="55">
        <v>6310</v>
      </c>
    </row>
    <row r="23" spans="1:5" ht="18" customHeight="1">
      <c r="A23" s="15" t="s">
        <v>14</v>
      </c>
      <c r="B23" s="16">
        <v>0</v>
      </c>
      <c r="C23" s="16">
        <f>SUM(C24:C32)</f>
        <v>1158225</v>
      </c>
      <c r="D23" s="16">
        <f t="shared" si="2"/>
        <v>1158225</v>
      </c>
    </row>
    <row r="24" spans="1:5" ht="18" customHeight="1">
      <c r="A24" s="10" t="s">
        <v>90</v>
      </c>
      <c r="B24" s="13"/>
      <c r="C24" s="13">
        <v>237</v>
      </c>
      <c r="D24" s="13">
        <f t="shared" si="2"/>
        <v>237</v>
      </c>
      <c r="E24" s="55">
        <v>6320</v>
      </c>
    </row>
    <row r="25" spans="1:5" ht="18" customHeight="1">
      <c r="A25" s="10" t="s">
        <v>91</v>
      </c>
      <c r="B25" s="13"/>
      <c r="C25" s="13">
        <v>3600</v>
      </c>
      <c r="D25" s="13">
        <f t="shared" si="2"/>
        <v>3600</v>
      </c>
      <c r="E25" s="55">
        <v>6320</v>
      </c>
    </row>
    <row r="26" spans="1:5" ht="18" customHeight="1">
      <c r="A26" s="10" t="s">
        <v>92</v>
      </c>
      <c r="B26" s="13"/>
      <c r="C26" s="13">
        <v>15000</v>
      </c>
      <c r="D26" s="13">
        <f t="shared" si="2"/>
        <v>15000</v>
      </c>
      <c r="E26" s="55">
        <v>6320</v>
      </c>
    </row>
    <row r="27" spans="1:5" ht="18" customHeight="1">
      <c r="A27" s="10" t="s">
        <v>16</v>
      </c>
      <c r="B27" s="13"/>
      <c r="C27" s="13">
        <v>158232</v>
      </c>
      <c r="D27" s="13">
        <f t="shared" si="2"/>
        <v>158232</v>
      </c>
      <c r="E27" s="55">
        <v>6320</v>
      </c>
    </row>
    <row r="28" spans="1:5" ht="18" customHeight="1">
      <c r="A28" s="10" t="s">
        <v>93</v>
      </c>
      <c r="B28" s="13"/>
      <c r="C28" s="13">
        <v>126000</v>
      </c>
      <c r="D28" s="13">
        <f t="shared" si="2"/>
        <v>126000</v>
      </c>
      <c r="E28" s="55">
        <v>6310</v>
      </c>
    </row>
    <row r="29" spans="1:5" ht="18" customHeight="1">
      <c r="A29" s="10" t="s">
        <v>15</v>
      </c>
      <c r="B29" s="13"/>
      <c r="C29" s="13">
        <v>803462</v>
      </c>
      <c r="D29" s="13">
        <f t="shared" si="2"/>
        <v>803462</v>
      </c>
      <c r="E29" s="55">
        <v>6310</v>
      </c>
    </row>
    <row r="30" spans="1:5" ht="18" customHeight="1">
      <c r="A30" s="10" t="s">
        <v>94</v>
      </c>
      <c r="B30" s="13"/>
      <c r="C30" s="13">
        <v>6694</v>
      </c>
      <c r="D30" s="13">
        <f t="shared" si="2"/>
        <v>6694</v>
      </c>
      <c r="E30" s="55">
        <v>6320</v>
      </c>
    </row>
    <row r="31" spans="1:5" ht="18" customHeight="1">
      <c r="A31" s="10" t="s">
        <v>95</v>
      </c>
      <c r="B31" s="13"/>
      <c r="C31" s="13">
        <v>6600</v>
      </c>
      <c r="D31" s="13">
        <f t="shared" si="2"/>
        <v>6600</v>
      </c>
      <c r="E31" s="55">
        <v>6320</v>
      </c>
    </row>
    <row r="32" spans="1:5" ht="18" customHeight="1">
      <c r="A32" s="10" t="s">
        <v>44</v>
      </c>
      <c r="B32" s="13"/>
      <c r="C32" s="13">
        <f>3200*12</f>
        <v>38400</v>
      </c>
      <c r="D32" s="13">
        <f t="shared" si="2"/>
        <v>38400</v>
      </c>
      <c r="E32" s="55">
        <v>6320</v>
      </c>
    </row>
    <row r="33" spans="1:5" ht="18" customHeight="1">
      <c r="A33" s="15" t="s">
        <v>17</v>
      </c>
      <c r="B33" s="16">
        <f>SUM(B34:B34)</f>
        <v>0</v>
      </c>
      <c r="C33" s="16">
        <f>SUM(C34:C34)</f>
        <v>7687</v>
      </c>
      <c r="D33" s="16">
        <f>B33+C33</f>
        <v>7687</v>
      </c>
    </row>
    <row r="34" spans="1:5" ht="18" customHeight="1">
      <c r="A34" s="10" t="s">
        <v>45</v>
      </c>
      <c r="B34" s="13"/>
      <c r="C34" s="13">
        <v>7687</v>
      </c>
      <c r="D34" s="13">
        <v>7687</v>
      </c>
      <c r="E34" s="55">
        <v>6320</v>
      </c>
    </row>
    <row r="35" spans="1:5" s="19" customFormat="1" ht="18" customHeight="1">
      <c r="A35" s="11" t="s">
        <v>22</v>
      </c>
      <c r="B35" s="12">
        <f>B5+B6-B18</f>
        <v>2875</v>
      </c>
      <c r="C35" s="12">
        <f>C5+C6-C18</f>
        <v>2300078</v>
      </c>
      <c r="D35" s="12">
        <f>D5+D6-D18</f>
        <v>2302953</v>
      </c>
      <c r="E35" s="56"/>
    </row>
    <row r="37" spans="1:5">
      <c r="A37" s="59" t="s">
        <v>118</v>
      </c>
    </row>
    <row r="38" spans="1:5">
      <c r="A38" s="57"/>
    </row>
    <row r="39" spans="1:5">
      <c r="A39" s="58"/>
    </row>
    <row r="40" spans="1:5">
      <c r="A40" s="57"/>
    </row>
  </sheetData>
  <mergeCells count="3">
    <mergeCell ref="A2:D2"/>
    <mergeCell ref="A3:D3"/>
    <mergeCell ref="A1:D1"/>
  </mergeCells>
  <printOptions horizontalCentered="1"/>
  <pageMargins left="0.78740157480314965" right="0.70866141732283472" top="0.74803149606299213" bottom="0.74803149606299213" header="0.31496062992125984" footer="0.31496062992125984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6"/>
  <sheetViews>
    <sheetView workbookViewId="0">
      <selection activeCell="E20" sqref="E20"/>
    </sheetView>
  </sheetViews>
  <sheetFormatPr defaultRowHeight="15.75"/>
  <cols>
    <col min="1" max="1" width="40.85546875" style="2" customWidth="1"/>
    <col min="2" max="3" width="10.85546875" style="3" customWidth="1"/>
    <col min="4" max="5" width="10.85546875" style="21" customWidth="1"/>
    <col min="6" max="16384" width="9.140625" style="2"/>
  </cols>
  <sheetData>
    <row r="1" spans="1:7">
      <c r="A1" s="66" t="s">
        <v>51</v>
      </c>
      <c r="B1" s="66"/>
      <c r="C1" s="66"/>
      <c r="D1" s="66"/>
      <c r="E1" s="66"/>
    </row>
    <row r="2" spans="1:7">
      <c r="A2" s="67" t="s">
        <v>103</v>
      </c>
      <c r="B2" s="67"/>
      <c r="C2" s="67"/>
      <c r="D2" s="67"/>
      <c r="E2" s="67"/>
    </row>
    <row r="3" spans="1:7">
      <c r="A3" s="67" t="s">
        <v>25</v>
      </c>
      <c r="B3" s="67"/>
      <c r="C3" s="67"/>
      <c r="D3" s="67"/>
      <c r="E3" s="67"/>
    </row>
    <row r="5" spans="1:7">
      <c r="B5" s="3" t="s">
        <v>31</v>
      </c>
      <c r="C5" s="3" t="s">
        <v>32</v>
      </c>
      <c r="D5" s="21" t="s">
        <v>48</v>
      </c>
      <c r="E5" s="21" t="s">
        <v>49</v>
      </c>
    </row>
    <row r="6" spans="1:7">
      <c r="A6" s="4" t="s">
        <v>26</v>
      </c>
      <c r="B6" s="5">
        <f>SUM(B7:B8)</f>
        <v>17958.6813</v>
      </c>
      <c r="C6" s="5">
        <f>B6*12</f>
        <v>215504.17560000002</v>
      </c>
      <c r="D6" s="5">
        <f>D7+D8</f>
        <v>215933</v>
      </c>
      <c r="E6" s="3">
        <f>C6-D6</f>
        <v>-428.82439999998314</v>
      </c>
    </row>
    <row r="7" spans="1:7">
      <c r="A7" s="2" t="s">
        <v>85</v>
      </c>
      <c r="B7" s="3">
        <v>13793.15</v>
      </c>
      <c r="C7" s="3">
        <f t="shared" ref="C7:C18" si="0">B7*12</f>
        <v>165517.79999999999</v>
      </c>
      <c r="D7" s="3">
        <v>165847</v>
      </c>
      <c r="E7" s="3">
        <f t="shared" ref="E7:E20" si="1">C7-D7</f>
        <v>-329.20000000001164</v>
      </c>
    </row>
    <row r="8" spans="1:7">
      <c r="A8" s="2" t="s">
        <v>28</v>
      </c>
      <c r="B8" s="3">
        <f>B7*30.2%</f>
        <v>4165.5312999999996</v>
      </c>
      <c r="C8" s="3">
        <f t="shared" si="0"/>
        <v>49986.375599999999</v>
      </c>
      <c r="D8" s="3">
        <f>332+49754</f>
        <v>50086</v>
      </c>
      <c r="E8" s="3">
        <f t="shared" si="1"/>
        <v>-99.624400000000605</v>
      </c>
    </row>
    <row r="9" spans="1:7">
      <c r="A9" s="1" t="s">
        <v>27</v>
      </c>
      <c r="D9" s="3"/>
      <c r="E9" s="3"/>
    </row>
    <row r="10" spans="1:7">
      <c r="D10" s="3"/>
      <c r="E10" s="3"/>
    </row>
    <row r="11" spans="1:7">
      <c r="A11" s="4" t="s">
        <v>29</v>
      </c>
      <c r="B11" s="5">
        <f>SUM(B12:B18)</f>
        <v>18441</v>
      </c>
      <c r="C11" s="5">
        <f>SUM(C12:C20)</f>
        <v>221292</v>
      </c>
      <c r="D11" s="5">
        <f>SUM(D12:D20)</f>
        <v>221217.74</v>
      </c>
      <c r="E11" s="3">
        <f>C11-D11</f>
        <v>74.260000000009313</v>
      </c>
    </row>
    <row r="12" spans="1:7">
      <c r="A12" s="2" t="s">
        <v>30</v>
      </c>
      <c r="B12" s="3">
        <v>12766</v>
      </c>
      <c r="C12" s="3">
        <f t="shared" si="0"/>
        <v>153192</v>
      </c>
      <c r="D12" s="3">
        <v>153192</v>
      </c>
      <c r="E12" s="3">
        <f t="shared" si="1"/>
        <v>0</v>
      </c>
    </row>
    <row r="13" spans="1:7">
      <c r="A13" s="2" t="s">
        <v>39</v>
      </c>
      <c r="B13" s="3">
        <v>3200</v>
      </c>
      <c r="C13" s="3">
        <f t="shared" si="0"/>
        <v>38400</v>
      </c>
      <c r="D13" s="3">
        <v>38400</v>
      </c>
      <c r="E13" s="3">
        <f t="shared" si="1"/>
        <v>0</v>
      </c>
    </row>
    <row r="14" spans="1:7">
      <c r="A14" s="2" t="s">
        <v>47</v>
      </c>
      <c r="B14" s="3">
        <v>550</v>
      </c>
      <c r="C14" s="3">
        <f t="shared" si="0"/>
        <v>6600</v>
      </c>
      <c r="D14" s="3">
        <v>6174.19</v>
      </c>
      <c r="E14" s="3">
        <f t="shared" si="1"/>
        <v>425.8100000000004</v>
      </c>
    </row>
    <row r="15" spans="1:7">
      <c r="A15" s="2" t="s">
        <v>33</v>
      </c>
      <c r="B15" s="3">
        <v>450</v>
      </c>
      <c r="C15" s="3">
        <f t="shared" si="0"/>
        <v>5400</v>
      </c>
      <c r="D15" s="29">
        <v>5400</v>
      </c>
      <c r="E15" s="3">
        <f t="shared" si="1"/>
        <v>0</v>
      </c>
      <c r="G15" s="28"/>
    </row>
    <row r="16" spans="1:7">
      <c r="A16" s="2" t="s">
        <v>34</v>
      </c>
      <c r="B16" s="3">
        <v>300</v>
      </c>
      <c r="C16" s="3">
        <f t="shared" si="0"/>
        <v>3600</v>
      </c>
      <c r="D16" s="3">
        <v>3600</v>
      </c>
      <c r="E16" s="3">
        <f t="shared" si="1"/>
        <v>0</v>
      </c>
    </row>
    <row r="17" spans="1:5">
      <c r="A17" s="2" t="s">
        <v>35</v>
      </c>
      <c r="B17" s="3">
        <v>700</v>
      </c>
      <c r="C17" s="3">
        <f t="shared" si="0"/>
        <v>8400</v>
      </c>
      <c r="D17" s="3">
        <v>7687</v>
      </c>
      <c r="E17" s="3">
        <f t="shared" si="1"/>
        <v>713</v>
      </c>
    </row>
    <row r="18" spans="1:5">
      <c r="A18" s="2" t="s">
        <v>87</v>
      </c>
      <c r="B18" s="3">
        <v>475</v>
      </c>
      <c r="C18" s="3">
        <f t="shared" si="0"/>
        <v>5700</v>
      </c>
      <c r="D18" s="3">
        <v>0</v>
      </c>
      <c r="E18" s="3">
        <f t="shared" si="1"/>
        <v>5700</v>
      </c>
    </row>
    <row r="19" spans="1:5">
      <c r="A19" s="2" t="s">
        <v>107</v>
      </c>
      <c r="D19" s="3">
        <v>71</v>
      </c>
      <c r="E19" s="3">
        <f t="shared" si="1"/>
        <v>-71</v>
      </c>
    </row>
    <row r="20" spans="1:5">
      <c r="A20" s="2" t="s">
        <v>94</v>
      </c>
      <c r="D20" s="3">
        <v>6693.55</v>
      </c>
      <c r="E20" s="3">
        <f t="shared" si="1"/>
        <v>-6693.55</v>
      </c>
    </row>
    <row r="21" spans="1:5">
      <c r="D21" s="3"/>
      <c r="E21" s="3"/>
    </row>
    <row r="22" spans="1:5">
      <c r="D22" s="3"/>
      <c r="E22" s="3"/>
    </row>
    <row r="23" spans="1:5">
      <c r="A23" s="4" t="s">
        <v>36</v>
      </c>
      <c r="B23" s="5">
        <f>B6+B11</f>
        <v>36399.681299999997</v>
      </c>
      <c r="C23" s="5">
        <f>C6+C11</f>
        <v>436796.17560000002</v>
      </c>
      <c r="D23" s="5">
        <f>D6+D11</f>
        <v>437150.74</v>
      </c>
      <c r="E23" s="3">
        <f>C23-D23</f>
        <v>-354.56439999997383</v>
      </c>
    </row>
    <row r="24" spans="1:5">
      <c r="D24" s="3"/>
    </row>
    <row r="25" spans="1:5">
      <c r="A25" s="6" t="s">
        <v>37</v>
      </c>
      <c r="B25" s="3">
        <v>68</v>
      </c>
      <c r="C25" s="3">
        <v>68</v>
      </c>
      <c r="D25" s="3"/>
    </row>
    <row r="26" spans="1:5">
      <c r="A26" s="4" t="s">
        <v>38</v>
      </c>
      <c r="B26" s="5">
        <f>B23/B25</f>
        <v>535.28943088235292</v>
      </c>
      <c r="C26" s="5">
        <f>C23/C25</f>
        <v>6423.4731705882359</v>
      </c>
      <c r="D26" s="5"/>
    </row>
    <row r="28" spans="1:5">
      <c r="A28" s="4" t="s">
        <v>86</v>
      </c>
      <c r="B28" s="5">
        <v>530</v>
      </c>
    </row>
    <row r="31" spans="1:5">
      <c r="A31" s="2" t="s">
        <v>119</v>
      </c>
      <c r="B31" s="7"/>
      <c r="C31" s="8"/>
      <c r="E31" s="8" t="s">
        <v>40</v>
      </c>
    </row>
    <row r="33" spans="1:1">
      <c r="A33" s="59" t="s">
        <v>118</v>
      </c>
    </row>
    <row r="34" spans="1:1">
      <c r="A34" s="57"/>
    </row>
    <row r="35" spans="1:1">
      <c r="A35" s="58"/>
    </row>
    <row r="36" spans="1:1">
      <c r="A36" s="57"/>
    </row>
  </sheetData>
  <mergeCells count="3">
    <mergeCell ref="A1:E1"/>
    <mergeCell ref="A2:E2"/>
    <mergeCell ref="A3:E3"/>
  </mergeCells>
  <printOptions horizontalCentered="1"/>
  <pageMargins left="0.9055118110236221" right="0.51181102362204722" top="0.9448818897637796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ОДДС 2021</vt:lpstr>
      <vt:lpstr>ОЦИ 2021</vt:lpstr>
      <vt:lpstr>Расш к ОЦИ СНТ</vt:lpstr>
      <vt:lpstr>Факт бюджет 2021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2022-03-10T14:31:14Z</dcterms:modified>
</cp:coreProperties>
</file>